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nnées générales" sheetId="1" r:id="rId1"/>
    <sheet name="Config 1" sheetId="2" r:id="rId2"/>
    <sheet name="Config 2" sheetId="3" r:id="rId3"/>
    <sheet name="Config 3" sheetId="4" r:id="rId4"/>
    <sheet name="Config 4" sheetId="5" r:id="rId5"/>
    <sheet name="Bilan" sheetId="6" r:id="rId6"/>
  </sheets>
  <definedNames>
    <definedName name="g">'Données générales'!$C$6</definedName>
    <definedName name="H">'Données générales'!$C$7</definedName>
    <definedName name="n">'Données générales'!$C$18</definedName>
    <definedName name="ρ">'Données générales'!$C$5</definedName>
    <definedName name="ω">'Données générales'!$C$19</definedName>
  </definedNames>
  <calcPr fullCalcOnLoad="1"/>
</workbook>
</file>

<file path=xl/sharedStrings.xml><?xml version="1.0" encoding="utf-8"?>
<sst xmlns="http://schemas.openxmlformats.org/spreadsheetml/2006/main" count="197" uniqueCount="77">
  <si>
    <t>Données pour la turbine</t>
  </si>
  <si>
    <t>Conditions générales</t>
  </si>
  <si>
    <t>Densité eau</t>
  </si>
  <si>
    <t>ρ</t>
  </si>
  <si>
    <t>kg/m³</t>
  </si>
  <si>
    <t>Gravité</t>
  </si>
  <si>
    <t>g</t>
  </si>
  <si>
    <t>m/s²</t>
  </si>
  <si>
    <t>Chute nette</t>
  </si>
  <si>
    <t>H</t>
  </si>
  <si>
    <t>m</t>
  </si>
  <si>
    <t>Énergie nette</t>
  </si>
  <si>
    <t>E</t>
  </si>
  <si>
    <t>J/kg</t>
  </si>
  <si>
    <t>Débit</t>
  </si>
  <si>
    <t>Q</t>
  </si>
  <si>
    <t>m³/s</t>
  </si>
  <si>
    <t>Hauteur du distributeur</t>
  </si>
  <si>
    <t>b</t>
  </si>
  <si>
    <t>Niveau amont</t>
  </si>
  <si>
    <t>Zamont</t>
  </si>
  <si>
    <t>Niveau axe du distributeur</t>
  </si>
  <si>
    <t>Zdist</t>
  </si>
  <si>
    <t>Niveau aval</t>
  </si>
  <si>
    <t>Zaval</t>
  </si>
  <si>
    <t>Tension de vapeur à 15 degrés</t>
  </si>
  <si>
    <t>Tv</t>
  </si>
  <si>
    <t>Pa</t>
  </si>
  <si>
    <t>Diamètre sortie de la roue</t>
  </si>
  <si>
    <t>D</t>
  </si>
  <si>
    <t>Vitesse de rotation</t>
  </si>
  <si>
    <t>n</t>
  </si>
  <si>
    <t>tpm</t>
  </si>
  <si>
    <t>Vitesse angulaire</t>
  </si>
  <si>
    <t>ω</t>
  </si>
  <si>
    <t>rad/s</t>
  </si>
  <si>
    <t>pairesdepôle</t>
  </si>
  <si>
    <t>https://michelsabourin.scenari-community.org/SimTurbMeth/co/Poussee_axiale.html</t>
  </si>
  <si>
    <t>Configuration 1 – aucune fuite</t>
  </si>
  <si>
    <t>Segment a-b</t>
  </si>
  <si>
    <r>
      <rPr>
        <b/>
        <sz val="11"/>
        <color indexed="8"/>
        <rFont val="Calibri"/>
        <family val="2"/>
      </rPr>
      <t>r</t>
    </r>
    <r>
      <rPr>
        <b/>
        <vertAlign val="subscript"/>
        <sz val="11"/>
        <color indexed="8"/>
        <rFont val="Calibri"/>
        <family val="2"/>
      </rPr>
      <t>a</t>
    </r>
  </si>
  <si>
    <r>
      <rPr>
        <b/>
        <sz val="11"/>
        <color indexed="8"/>
        <rFont val="Calibri"/>
        <family val="2"/>
      </rPr>
      <t>r</t>
    </r>
    <r>
      <rPr>
        <b/>
        <vertAlign val="subscript"/>
        <sz val="11"/>
        <color indexed="8"/>
        <rFont val="Calibri"/>
        <family val="2"/>
      </rPr>
      <t>b</t>
    </r>
  </si>
  <si>
    <t>rotation ω du fluide</t>
  </si>
  <si>
    <t>Type de tourbillon</t>
  </si>
  <si>
    <r>
      <rPr>
        <b/>
        <sz val="11"/>
        <color indexed="8"/>
        <rFont val="Calibri"/>
        <family val="2"/>
      </rPr>
      <t>Cu</t>
    </r>
    <r>
      <rPr>
        <b/>
        <vertAlign val="subscript"/>
        <sz val="11"/>
        <color indexed="8"/>
        <rFont val="Calibri"/>
        <family val="2"/>
      </rPr>
      <t>a</t>
    </r>
  </si>
  <si>
    <r>
      <rPr>
        <b/>
        <sz val="11"/>
        <color indexed="8"/>
        <rFont val="Calibri"/>
        <family val="2"/>
      </rPr>
      <t>Cu</t>
    </r>
    <r>
      <rPr>
        <b/>
        <vertAlign val="subscript"/>
        <sz val="11"/>
        <color indexed="8"/>
        <rFont val="Calibri"/>
        <family val="2"/>
      </rPr>
      <t>b</t>
    </r>
  </si>
  <si>
    <t>Γ</t>
  </si>
  <si>
    <r>
      <rPr>
        <b/>
        <sz val="11"/>
        <color indexed="8"/>
        <rFont val="Calibri"/>
        <family val="2"/>
      </rPr>
      <t>p</t>
    </r>
    <r>
      <rPr>
        <b/>
        <vertAlign val="subscript"/>
        <sz val="11"/>
        <color indexed="8"/>
        <rFont val="Calibri"/>
        <family val="2"/>
      </rPr>
      <t>a</t>
    </r>
  </si>
  <si>
    <r>
      <rPr>
        <b/>
        <sz val="11"/>
        <color indexed="8"/>
        <rFont val="Calibri"/>
        <family val="2"/>
      </rPr>
      <t>p</t>
    </r>
    <r>
      <rPr>
        <b/>
        <vertAlign val="subscript"/>
        <sz val="11"/>
        <color indexed="8"/>
        <rFont val="Calibri"/>
        <family val="2"/>
      </rPr>
      <t>b</t>
    </r>
  </si>
  <si>
    <r>
      <rPr>
        <sz val="10"/>
        <rFont val="Arial"/>
        <family val="2"/>
      </rPr>
      <t>F</t>
    </r>
    <r>
      <rPr>
        <vertAlign val="subscript"/>
        <sz val="10"/>
        <rFont val="Arial"/>
        <family val="2"/>
      </rPr>
      <t>axiale</t>
    </r>
  </si>
  <si>
    <t>m/s</t>
  </si>
  <si>
    <t>m²/s</t>
  </si>
  <si>
    <t>N</t>
  </si>
  <si>
    <t>0-1</t>
  </si>
  <si>
    <t>s/o</t>
  </si>
  <si>
    <t>1-5</t>
  </si>
  <si>
    <t>forcé</t>
  </si>
  <si>
    <t>hypothèse : dans les espaces annulaires entre les parties fixes et mobiles, lorsque le tourbillon est forcé, la vitesse de rotation du fluide entraîné est supposée à la demie vitesse de rotation de la roue.</t>
  </si>
  <si>
    <r>
      <rPr>
        <sz val="10"/>
        <rFont val="Arial"/>
        <family val="2"/>
      </rPr>
      <t xml:space="preserve">La pression </t>
    </r>
    <r>
      <rPr>
        <b/>
        <sz val="10"/>
        <rFont val="Arial"/>
        <family val="2"/>
      </rPr>
      <t xml:space="preserve"> 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au point 0 est déterminée par le calcul de l’écoulement principal dans la turbine ou par une mesure</t>
    </r>
  </si>
  <si>
    <t>Configuration 2 – captation de la fuite avec un conduit menant à l’aval</t>
  </si>
  <si>
    <t>rotation ω</t>
  </si>
  <si>
    <t>1-4</t>
  </si>
  <si>
    <t>libre</t>
  </si>
  <si>
    <t>4-5</t>
  </si>
  <si>
    <t>La position radiale du point 4 a une influence capitale sur le résultat.</t>
  </si>
  <si>
    <t>Configuration 3 : retour de la fuite par les trous d'équilibrage dans le plafond de la roue</t>
  </si>
  <si>
    <t>1-2</t>
  </si>
  <si>
    <t>2-3</t>
  </si>
  <si>
    <t>3-4</t>
  </si>
  <si>
    <t>2-5</t>
  </si>
  <si>
    <t>Si on empêche le tourbillon libre dans le segment 3-4 avec un cône à ailette</t>
  </si>
  <si>
    <t>hypothèse : tourbillon forcé à la demie vitesse de rotation de la roue.</t>
  </si>
  <si>
    <t>Configuration 4 : retour de la fuite par les trous d'équilibrage et transit dans les canaux du fond supérieur</t>
  </si>
  <si>
    <t>1-2’</t>
  </si>
  <si>
    <t>Force sur le plafond (N)</t>
  </si>
  <si>
    <t>Cône normal</t>
  </si>
  <si>
    <t>Cône à ailette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</si>
</sst>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0.00"/>
    <numFmt numFmtId="168" formatCode="#,##0"/>
  </numFmts>
  <fonts count="28">
    <font>
      <sz val="10"/>
      <name val="Arial"/>
      <family val="2"/>
    </font>
    <font>
      <sz val="10"/>
      <color indexed="9"/>
      <name val="Lohit Devanagari"/>
      <family val="2"/>
    </font>
    <font>
      <sz val="10"/>
      <color indexed="8"/>
      <name val="Lohit Devanagari"/>
      <family val="2"/>
    </font>
    <font>
      <sz val="10"/>
      <color indexed="10"/>
      <name val="Lohit Devanagari"/>
      <family val="2"/>
    </font>
    <font>
      <sz val="10"/>
      <color indexed="23"/>
      <name val="Lohit Devanagari"/>
      <family val="2"/>
    </font>
    <font>
      <sz val="10"/>
      <color indexed="17"/>
      <name val="Lohit Devanagari"/>
      <family val="2"/>
    </font>
    <font>
      <u val="single"/>
      <sz val="10"/>
      <color indexed="39"/>
      <name val="Lohit Devanagari"/>
      <family val="2"/>
    </font>
    <font>
      <sz val="10"/>
      <color indexed="19"/>
      <name val="Lohit Devanagari"/>
      <family val="2"/>
    </font>
    <font>
      <sz val="10"/>
      <name val="Lohit Devanagari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8"/>
      <name val="Cambria"/>
      <family val="1"/>
    </font>
    <font>
      <b/>
      <sz val="11"/>
      <color indexed="8"/>
      <name val="Calibri"/>
      <family val="2"/>
    </font>
    <font>
      <b/>
      <sz val="11"/>
      <color indexed="8"/>
      <name val="Cambria Math"/>
      <family val="1"/>
    </font>
    <font>
      <sz val="10"/>
      <color indexed="12"/>
      <name val="Arial"/>
      <family val="2"/>
    </font>
    <font>
      <b/>
      <vertAlign val="subscript"/>
      <sz val="11"/>
      <color indexed="8"/>
      <name val="Calibri"/>
      <family val="2"/>
    </font>
    <font>
      <vertAlign val="subscript"/>
      <sz val="10"/>
      <name val="Arial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Arial"/>
      <family val="2"/>
    </font>
    <font>
      <b/>
      <sz val="13"/>
      <color indexed="60"/>
      <name val="Arial"/>
      <family val="2"/>
    </font>
    <font>
      <b/>
      <i/>
      <sz val="12"/>
      <name val="Arial"/>
      <family val="2"/>
    </font>
    <font>
      <b/>
      <sz val="18"/>
      <color indexed="8"/>
      <name val="Calibri"/>
      <family val="2"/>
    </font>
    <font>
      <b/>
      <sz val="14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sz val="20"/>
      <name val="Arial"/>
      <family val="2"/>
    </font>
    <font>
      <b/>
      <sz val="15"/>
      <color indexed="6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left" vertical="top"/>
    </xf>
    <xf numFmtId="164" fontId="12" fillId="0" borderId="0" xfId="0" applyFont="1" applyAlignment="1">
      <alignment horizontal="left" vertical="top"/>
    </xf>
    <xf numFmtId="166" fontId="0" fillId="0" borderId="0" xfId="0" applyNumberFormat="1" applyAlignment="1">
      <alignment/>
    </xf>
    <xf numFmtId="164" fontId="0" fillId="0" borderId="0" xfId="0" applyFont="1" applyAlignment="1">
      <alignment vertical="top"/>
    </xf>
    <xf numFmtId="164" fontId="13" fillId="0" borderId="0" xfId="0" applyFont="1" applyAlignment="1">
      <alignment horizontal="left" vertical="top"/>
    </xf>
    <xf numFmtId="167" fontId="0" fillId="0" borderId="0" xfId="0" applyNumberFormat="1" applyAlignment="1">
      <alignment vertical="top"/>
    </xf>
    <xf numFmtId="164" fontId="14" fillId="0" borderId="0" xfId="0" applyFont="1" applyAlignment="1">
      <alignment/>
    </xf>
    <xf numFmtId="164" fontId="12" fillId="9" borderId="0" xfId="0" applyFont="1" applyFill="1" applyAlignment="1">
      <alignment horizontal="center"/>
    </xf>
    <xf numFmtId="164" fontId="12" fillId="9" borderId="0" xfId="0" applyFont="1" applyFill="1" applyAlignment="1">
      <alignment horizontal="center" wrapText="1"/>
    </xf>
    <xf numFmtId="168" fontId="12" fillId="9" borderId="0" xfId="0" applyNumberFormat="1" applyFont="1" applyFill="1" applyAlignment="1">
      <alignment horizontal="center"/>
    </xf>
    <xf numFmtId="164" fontId="0" fillId="9" borderId="0" xfId="0" applyFont="1" applyFill="1" applyAlignment="1">
      <alignment horizontal="center"/>
    </xf>
    <xf numFmtId="164" fontId="0" fillId="9" borderId="0" xfId="0" applyFill="1" applyAlignment="1">
      <alignment/>
    </xf>
    <xf numFmtId="164" fontId="17" fillId="9" borderId="0" xfId="0" applyFont="1" applyFill="1" applyAlignment="1">
      <alignment horizontal="center"/>
    </xf>
    <xf numFmtId="168" fontId="17" fillId="9" borderId="0" xfId="0" applyNumberFormat="1" applyFont="1" applyFill="1" applyAlignment="1">
      <alignment horizontal="center"/>
    </xf>
    <xf numFmtId="164" fontId="0" fillId="10" borderId="0" xfId="0" applyFill="1" applyAlignment="1">
      <alignment horizontal="center"/>
    </xf>
    <xf numFmtId="167" fontId="0" fillId="1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7" fontId="18" fillId="0" borderId="0" xfId="0" applyNumberFormat="1" applyFont="1" applyAlignment="1">
      <alignment horizontal="center"/>
    </xf>
    <xf numFmtId="168" fontId="17" fillId="11" borderId="0" xfId="0" applyNumberFormat="1" applyFont="1" applyFill="1" applyAlignment="1">
      <alignment horizontal="center"/>
    </xf>
    <xf numFmtId="164" fontId="18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8" fontId="19" fillId="12" borderId="0" xfId="0" applyNumberFormat="1" applyFont="1" applyFill="1" applyAlignment="1">
      <alignment/>
    </xf>
    <xf numFmtId="164" fontId="0" fillId="0" borderId="0" xfId="0" applyFont="1" applyAlignment="1">
      <alignment horizontal="left" vertical="center" wrapText="1"/>
    </xf>
    <xf numFmtId="164" fontId="0" fillId="0" borderId="0" xfId="0" applyFont="1" applyAlignment="1">
      <alignment horizontal="left" vertical="center"/>
    </xf>
    <xf numFmtId="168" fontId="0" fillId="11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 horizontal="center"/>
    </xf>
    <xf numFmtId="168" fontId="20" fillId="12" borderId="0" xfId="0" applyNumberFormat="1" applyFont="1" applyFill="1" applyAlignment="1">
      <alignment/>
    </xf>
    <xf numFmtId="164" fontId="21" fillId="12" borderId="0" xfId="0" applyFont="1" applyFill="1" applyAlignment="1">
      <alignment/>
    </xf>
    <xf numFmtId="164" fontId="0" fillId="12" borderId="0" xfId="0" applyFill="1" applyAlignment="1">
      <alignment/>
    </xf>
    <xf numFmtId="167" fontId="0" fillId="12" borderId="0" xfId="0" applyNumberFormat="1" applyFill="1" applyAlignment="1">
      <alignment horizontal="center"/>
    </xf>
    <xf numFmtId="167" fontId="18" fillId="12" borderId="0" xfId="0" applyNumberFormat="1" applyFont="1" applyFill="1" applyAlignment="1">
      <alignment horizontal="center"/>
    </xf>
    <xf numFmtId="168" fontId="0" fillId="12" borderId="0" xfId="0" applyNumberFormat="1" applyFill="1" applyAlignment="1">
      <alignment horizontal="center"/>
    </xf>
    <xf numFmtId="168" fontId="0" fillId="12" borderId="0" xfId="0" applyNumberFormat="1" applyFill="1" applyAlignment="1">
      <alignment/>
    </xf>
    <xf numFmtId="164" fontId="18" fillId="12" borderId="0" xfId="0" applyFont="1" applyFill="1" applyAlignment="1">
      <alignment horizontal="center"/>
    </xf>
    <xf numFmtId="164" fontId="22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12" fillId="0" borderId="0" xfId="0" applyFont="1" applyAlignment="1">
      <alignment horizontal="center"/>
    </xf>
    <xf numFmtId="168" fontId="12" fillId="0" borderId="0" xfId="0" applyNumberFormat="1" applyFont="1" applyAlignment="1">
      <alignment horizontal="center"/>
    </xf>
    <xf numFmtId="164" fontId="18" fillId="0" borderId="0" xfId="0" applyFont="1" applyAlignment="1">
      <alignment/>
    </xf>
    <xf numFmtId="168" fontId="18" fillId="0" borderId="0" xfId="0" applyNumberFormat="1" applyFont="1" applyAlignment="1">
      <alignment horizontal="center"/>
    </xf>
    <xf numFmtId="164" fontId="17" fillId="12" borderId="0" xfId="0" applyFont="1" applyFill="1" applyAlignment="1">
      <alignment horizontal="center"/>
    </xf>
    <xf numFmtId="168" fontId="17" fillId="12" borderId="0" xfId="0" applyNumberFormat="1" applyFont="1" applyFill="1" applyAlignment="1">
      <alignment horizontal="center"/>
    </xf>
    <xf numFmtId="167" fontId="0" fillId="13" borderId="0" xfId="0" applyNumberFormat="1" applyFont="1" applyFill="1" applyAlignment="1">
      <alignment horizontal="center"/>
    </xf>
    <xf numFmtId="164" fontId="0" fillId="13" borderId="0" xfId="0" applyFill="1" applyAlignment="1">
      <alignment horizontal="center"/>
    </xf>
    <xf numFmtId="166" fontId="0" fillId="10" borderId="0" xfId="0" applyNumberFormat="1" applyFill="1" applyAlignment="1">
      <alignment horizontal="center"/>
    </xf>
    <xf numFmtId="164" fontId="23" fillId="0" borderId="0" xfId="0" applyFont="1" applyBorder="1" applyAlignment="1">
      <alignment horizontal="center" vertical="center"/>
    </xf>
    <xf numFmtId="164" fontId="24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164" fontId="27" fillId="0" borderId="0" xfId="0" applyFont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2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E5CA"/>
      <rgbColor rgb="0099CCFF"/>
      <rgbColor rgb="00FF99CC"/>
      <rgbColor rgb="00CC99FF"/>
      <rgbColor rgb="00FFCCCC"/>
      <rgbColor rgb="003366FF"/>
      <rgbColor rgb="0033CCCC"/>
      <rgbColor rgb="0072BF44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chelsabourin.scenari-community.org/SimTurbMeth/co/Poussee_axiale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36" zoomScaleNormal="136" workbookViewId="0" topLeftCell="A4">
      <selection activeCell="A23" sqref="A23"/>
    </sheetView>
  </sheetViews>
  <sheetFormatPr defaultColWidth="9.140625" defaultRowHeight="12.75"/>
  <cols>
    <col min="1" max="1" width="39.7109375" style="0" customWidth="1"/>
    <col min="2" max="2" width="16.28125" style="0" customWidth="1"/>
    <col min="3" max="16384" width="11.421875" style="0" customWidth="1"/>
  </cols>
  <sheetData>
    <row r="1" ht="18.75">
      <c r="A1" s="1" t="s">
        <v>0</v>
      </c>
    </row>
    <row r="3" ht="12.75">
      <c r="A3" s="2" t="s">
        <v>1</v>
      </c>
    </row>
    <row r="5" spans="1:5" ht="13.5">
      <c r="A5" t="s">
        <v>2</v>
      </c>
      <c r="B5" s="3" t="s">
        <v>3</v>
      </c>
      <c r="C5">
        <v>1000</v>
      </c>
      <c r="E5" t="s">
        <v>4</v>
      </c>
    </row>
    <row r="6" spans="1:5" ht="14.25">
      <c r="A6" t="s">
        <v>5</v>
      </c>
      <c r="B6" s="4" t="s">
        <v>6</v>
      </c>
      <c r="C6">
        <v>9.81</v>
      </c>
      <c r="E6" t="s">
        <v>7</v>
      </c>
    </row>
    <row r="7" spans="1:5" ht="13.5">
      <c r="A7" t="s">
        <v>8</v>
      </c>
      <c r="B7" s="3" t="s">
        <v>9</v>
      </c>
      <c r="C7" s="5">
        <v>63</v>
      </c>
      <c r="D7" s="5"/>
      <c r="E7" t="s">
        <v>10</v>
      </c>
    </row>
    <row r="8" spans="1:5" ht="13.5">
      <c r="A8" t="s">
        <v>11</v>
      </c>
      <c r="B8" s="3" t="s">
        <v>12</v>
      </c>
      <c r="C8">
        <f>g*H</f>
        <v>618.0300000000001</v>
      </c>
      <c r="E8" t="s">
        <v>13</v>
      </c>
    </row>
    <row r="9" spans="1:5" ht="13.5">
      <c r="A9" s="6" t="s">
        <v>14</v>
      </c>
      <c r="B9" s="3" t="s">
        <v>15</v>
      </c>
      <c r="C9" s="5">
        <v>30</v>
      </c>
      <c r="D9" s="5"/>
      <c r="E9" s="6" t="s">
        <v>16</v>
      </c>
    </row>
    <row r="10" spans="1:5" ht="14.25">
      <c r="A10" s="6" t="s">
        <v>17</v>
      </c>
      <c r="B10" s="7" t="s">
        <v>18</v>
      </c>
      <c r="C10" s="5">
        <v>0.6000000000000001</v>
      </c>
      <c r="D10" s="6"/>
      <c r="E10" s="6" t="s">
        <v>10</v>
      </c>
    </row>
    <row r="11" spans="1:5" ht="12.75">
      <c r="A11" t="s">
        <v>19</v>
      </c>
      <c r="B11" s="2" t="s">
        <v>20</v>
      </c>
      <c r="C11" s="5">
        <v>132</v>
      </c>
      <c r="E11" t="s">
        <v>10</v>
      </c>
    </row>
    <row r="12" spans="1:5" ht="12.75">
      <c r="A12" t="s">
        <v>21</v>
      </c>
      <c r="B12" s="2" t="s">
        <v>22</v>
      </c>
      <c r="C12" s="5">
        <v>65</v>
      </c>
      <c r="E12" t="s">
        <v>10</v>
      </c>
    </row>
    <row r="13" spans="1:5" ht="12.75">
      <c r="A13" t="s">
        <v>23</v>
      </c>
      <c r="B13" s="2" t="s">
        <v>24</v>
      </c>
      <c r="C13" s="5">
        <v>67</v>
      </c>
      <c r="E13" t="s">
        <v>10</v>
      </c>
    </row>
    <row r="14" spans="1:5" ht="12.75">
      <c r="A14" t="s">
        <v>25</v>
      </c>
      <c r="B14" s="2" t="s">
        <v>26</v>
      </c>
      <c r="C14">
        <v>1706</v>
      </c>
      <c r="E14" t="s">
        <v>27</v>
      </c>
    </row>
    <row r="17" spans="1:5" ht="13.5">
      <c r="A17" t="s">
        <v>28</v>
      </c>
      <c r="B17" s="3" t="s">
        <v>29</v>
      </c>
      <c r="C17" s="8">
        <v>2</v>
      </c>
      <c r="D17" s="8"/>
      <c r="E17" t="s">
        <v>10</v>
      </c>
    </row>
    <row r="18" spans="1:5" ht="13.5">
      <c r="A18" t="s">
        <v>30</v>
      </c>
      <c r="B18" s="3" t="s">
        <v>31</v>
      </c>
      <c r="C18" s="8">
        <f>3600/C21</f>
        <v>200</v>
      </c>
      <c r="D18" s="8"/>
      <c r="E18" t="s">
        <v>32</v>
      </c>
    </row>
    <row r="19" spans="1:5" ht="15" customHeight="1">
      <c r="A19" s="9" t="s">
        <v>33</v>
      </c>
      <c r="B19" s="10" t="s">
        <v>34</v>
      </c>
      <c r="C19" s="11">
        <f>n*PI()/30</f>
        <v>20.943951023931955</v>
      </c>
      <c r="D19" s="11"/>
      <c r="E19" s="6" t="s">
        <v>35</v>
      </c>
    </row>
    <row r="21" spans="2:3" ht="12.75">
      <c r="B21" t="s">
        <v>36</v>
      </c>
      <c r="C21">
        <v>18</v>
      </c>
    </row>
    <row r="23" ht="14.25">
      <c r="A23" s="12" t="s">
        <v>37</v>
      </c>
    </row>
  </sheetData>
  <sheetProtection selectLockedCells="1" selectUnlockedCells="1"/>
  <hyperlinks>
    <hyperlink ref="A23" r:id="rId1" display="https://michelsabourin.scenari-community.org/SimTurbMeth/co/Poussee_axiale.html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M11"/>
  <sheetViews>
    <sheetView zoomScale="136" zoomScaleNormal="136" workbookViewId="0" topLeftCell="A1">
      <selection activeCell="C9" sqref="C9"/>
    </sheetView>
  </sheetViews>
  <sheetFormatPr defaultColWidth="9.140625" defaultRowHeight="12.75"/>
  <cols>
    <col min="1" max="1" width="11.421875" style="0" customWidth="1"/>
    <col min="2" max="2" width="35.7109375" style="0" customWidth="1"/>
    <col min="3" max="13" width="11.421875" style="0" customWidth="1"/>
    <col min="14" max="14" width="47.28125" style="0" customWidth="1"/>
    <col min="15" max="16384" width="11.421875" style="0" customWidth="1"/>
  </cols>
  <sheetData>
    <row r="1" ht="19.5">
      <c r="C1" s="1" t="s">
        <v>38</v>
      </c>
    </row>
    <row r="3" spans="3:13" ht="45">
      <c r="C3" s="13" t="s">
        <v>39</v>
      </c>
      <c r="D3" s="13" t="s">
        <v>40</v>
      </c>
      <c r="E3" s="13" t="s">
        <v>41</v>
      </c>
      <c r="F3" s="14" t="s">
        <v>42</v>
      </c>
      <c r="G3" s="14" t="s">
        <v>43</v>
      </c>
      <c r="H3" s="13" t="s">
        <v>44</v>
      </c>
      <c r="I3" s="13" t="s">
        <v>45</v>
      </c>
      <c r="J3" s="13" t="s">
        <v>46</v>
      </c>
      <c r="K3" s="15" t="s">
        <v>47</v>
      </c>
      <c r="L3" s="13" t="s">
        <v>48</v>
      </c>
      <c r="M3" s="16" t="s">
        <v>49</v>
      </c>
    </row>
    <row r="4" spans="3:13" ht="15">
      <c r="C4" s="17"/>
      <c r="D4" s="18" t="s">
        <v>10</v>
      </c>
      <c r="E4" s="18" t="s">
        <v>10</v>
      </c>
      <c r="F4" s="18" t="s">
        <v>35</v>
      </c>
      <c r="G4" s="18"/>
      <c r="H4" s="18" t="s">
        <v>50</v>
      </c>
      <c r="I4" s="18" t="s">
        <v>50</v>
      </c>
      <c r="J4" s="18" t="s">
        <v>51</v>
      </c>
      <c r="K4" s="19" t="s">
        <v>27</v>
      </c>
      <c r="L4" s="18" t="s">
        <v>27</v>
      </c>
      <c r="M4" s="16" t="s">
        <v>52</v>
      </c>
    </row>
    <row r="5" spans="3:13" ht="15">
      <c r="C5" t="s">
        <v>53</v>
      </c>
      <c r="D5" s="20">
        <v>0.9</v>
      </c>
      <c r="E5" s="20">
        <v>0.9</v>
      </c>
      <c r="F5" s="21">
        <f aca="true" t="shared" si="0" ref="F5:F6">ω/2</f>
        <v>10.471975511965978</v>
      </c>
      <c r="G5" s="21" t="s">
        <v>54</v>
      </c>
      <c r="H5" s="22">
        <f aca="true" t="shared" si="1" ref="H5:H6">D5*F5</f>
        <v>9.42477796076938</v>
      </c>
      <c r="I5" s="22">
        <f aca="true" t="shared" si="2" ref="I5:I6">E5*F5</f>
        <v>9.42477796076938</v>
      </c>
      <c r="J5" s="23" t="s">
        <v>54</v>
      </c>
      <c r="K5" s="24">
        <v>400000</v>
      </c>
      <c r="L5" s="19">
        <f>K5</f>
        <v>400000</v>
      </c>
      <c r="M5" s="17"/>
    </row>
    <row r="6" spans="3:13" ht="18">
      <c r="C6" s="17" t="s">
        <v>55</v>
      </c>
      <c r="D6" s="20">
        <v>0.9</v>
      </c>
      <c r="E6" s="20">
        <v>0.2</v>
      </c>
      <c r="F6" s="21">
        <f t="shared" si="0"/>
        <v>10.471975511965978</v>
      </c>
      <c r="G6" s="21" t="s">
        <v>56</v>
      </c>
      <c r="H6" s="22">
        <f t="shared" si="1"/>
        <v>9.42477796076938</v>
      </c>
      <c r="I6" s="22">
        <f t="shared" si="2"/>
        <v>2.0943951023931957</v>
      </c>
      <c r="J6" s="25" t="s">
        <v>54</v>
      </c>
      <c r="K6" s="26">
        <f>L5</f>
        <v>400000</v>
      </c>
      <c r="L6" s="26">
        <f>ρ/2*(I6^2-H6^2)+K6</f>
        <v>357780.0256175622</v>
      </c>
      <c r="M6" s="27">
        <f>PI()*ρ*F6^2*(E6^2-D6^2)/4+(K6-ρ*D6^2*F6^2/2)*PI()*(E6^2-D6^2)</f>
        <v>-926492.7692857253</v>
      </c>
    </row>
    <row r="9" spans="3:13" ht="25.5" customHeight="1">
      <c r="C9" s="28" t="s">
        <v>57</v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1" spans="3:13" ht="15.75">
      <c r="C11" s="29" t="s">
        <v>58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</sheetData>
  <sheetProtection selectLockedCells="1" selectUnlockedCells="1"/>
  <mergeCells count="2">
    <mergeCell ref="C9:M9"/>
    <mergeCell ref="C11:M1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  <oleObjects>
    <oleObject progId="" shapeId="219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C1:M12"/>
  <sheetViews>
    <sheetView zoomScale="136" zoomScaleNormal="136" workbookViewId="0" topLeftCell="A1">
      <selection activeCell="E17" sqref="E17"/>
    </sheetView>
  </sheetViews>
  <sheetFormatPr defaultColWidth="9.140625" defaultRowHeight="12.75"/>
  <cols>
    <col min="1" max="1" width="11.421875" style="0" customWidth="1"/>
    <col min="2" max="2" width="35.7109375" style="0" customWidth="1"/>
    <col min="3" max="16384" width="11.421875" style="0" customWidth="1"/>
  </cols>
  <sheetData>
    <row r="1" ht="19.5">
      <c r="C1" s="1" t="s">
        <v>59</v>
      </c>
    </row>
    <row r="3" spans="3:13" ht="45">
      <c r="C3" s="13" t="s">
        <v>39</v>
      </c>
      <c r="D3" s="13" t="s">
        <v>40</v>
      </c>
      <c r="E3" s="13" t="s">
        <v>41</v>
      </c>
      <c r="F3" s="13" t="s">
        <v>60</v>
      </c>
      <c r="G3" s="14" t="s">
        <v>43</v>
      </c>
      <c r="H3" s="13" t="s">
        <v>44</v>
      </c>
      <c r="I3" s="13" t="s">
        <v>45</v>
      </c>
      <c r="J3" s="13" t="s">
        <v>46</v>
      </c>
      <c r="K3" s="15" t="s">
        <v>47</v>
      </c>
      <c r="L3" s="13" t="s">
        <v>48</v>
      </c>
      <c r="M3" s="16" t="s">
        <v>49</v>
      </c>
    </row>
    <row r="4" spans="3:13" ht="15">
      <c r="C4" s="17"/>
      <c r="D4" s="18" t="s">
        <v>10</v>
      </c>
      <c r="E4" s="18" t="s">
        <v>10</v>
      </c>
      <c r="F4" s="18" t="s">
        <v>35</v>
      </c>
      <c r="G4" s="18"/>
      <c r="H4" s="18" t="s">
        <v>50</v>
      </c>
      <c r="I4" s="18" t="s">
        <v>50</v>
      </c>
      <c r="J4" s="18" t="s">
        <v>51</v>
      </c>
      <c r="K4" s="19" t="s">
        <v>27</v>
      </c>
      <c r="L4" s="18" t="s">
        <v>27</v>
      </c>
      <c r="M4" s="16" t="s">
        <v>52</v>
      </c>
    </row>
    <row r="5" spans="3:13" ht="15">
      <c r="C5" t="s">
        <v>53</v>
      </c>
      <c r="D5" s="20">
        <v>0.9</v>
      </c>
      <c r="E5" s="20">
        <f>D5</f>
        <v>0.9</v>
      </c>
      <c r="F5" s="21">
        <f aca="true" t="shared" si="0" ref="F5:F7">ω/2</f>
        <v>10.471975511965978</v>
      </c>
      <c r="G5" s="21" t="s">
        <v>54</v>
      </c>
      <c r="H5" s="22">
        <f aca="true" t="shared" si="1" ref="H5:H7">D5*F5</f>
        <v>9.42477796076938</v>
      </c>
      <c r="I5" s="22">
        <f>E5*F5</f>
        <v>9.42477796076938</v>
      </c>
      <c r="J5" s="23"/>
      <c r="K5" s="30">
        <v>400000</v>
      </c>
      <c r="L5" s="26"/>
      <c r="M5" s="31"/>
    </row>
    <row r="6" spans="3:13" ht="15">
      <c r="C6" s="17" t="s">
        <v>61</v>
      </c>
      <c r="D6" s="20">
        <f>D5</f>
        <v>0.9</v>
      </c>
      <c r="E6" s="20">
        <v>0.85</v>
      </c>
      <c r="F6" s="21">
        <f t="shared" si="0"/>
        <v>10.471975511965978</v>
      </c>
      <c r="G6" s="21" t="s">
        <v>62</v>
      </c>
      <c r="H6" s="22">
        <f t="shared" si="1"/>
        <v>9.42477796076938</v>
      </c>
      <c r="I6" s="22">
        <f>J6/E6</f>
        <v>9.979176664344049</v>
      </c>
      <c r="J6" s="23">
        <f>H6*D6</f>
        <v>8.482300164692441</v>
      </c>
      <c r="K6" s="26">
        <f>-ρ/2*(H6^2-I6^2)+L6</f>
        <v>35378.763644192295</v>
      </c>
      <c r="L6" s="30">
        <v>30000</v>
      </c>
      <c r="M6" s="31">
        <f>PI()*ρ*J6^2*(LN(D6)-LN(E6))+(K6+ρ*J6^2/(2*D6^2))*PI()*(E6^2-D6^2)</f>
        <v>-9014.121697968496</v>
      </c>
    </row>
    <row r="7" spans="3:13" ht="15">
      <c r="C7" t="s">
        <v>63</v>
      </c>
      <c r="D7" s="20">
        <f>E6</f>
        <v>0.85</v>
      </c>
      <c r="E7" s="20">
        <v>0.2</v>
      </c>
      <c r="F7" s="21">
        <f t="shared" si="0"/>
        <v>10.471975511965978</v>
      </c>
      <c r="G7" s="21" t="s">
        <v>56</v>
      </c>
      <c r="H7" s="22">
        <f t="shared" si="1"/>
        <v>8.901179185171081</v>
      </c>
      <c r="I7" s="22">
        <f>E7*F7</f>
        <v>2.0943951023931957</v>
      </c>
      <c r="J7" s="25"/>
      <c r="K7" s="26">
        <f>L6</f>
        <v>30000</v>
      </c>
      <c r="L7" s="26">
        <f>ρ/2*(I7^2-H7^2)+K7</f>
        <v>-7422.250020797161</v>
      </c>
      <c r="M7" s="31">
        <f>PI()*ρ*F7^2*(E7^4-D7^4)/4+(K7-ρ*D7^2*F7^2/2)*PI()*(E7^2-D7^2)</f>
        <v>-24204.89439638182</v>
      </c>
    </row>
    <row r="8" ht="18">
      <c r="M8" s="27">
        <f>M6+M7</f>
        <v>-33219.016094350314</v>
      </c>
    </row>
    <row r="10" spans="3:13" ht="25.5" customHeight="1">
      <c r="C10" s="28" t="s">
        <v>57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2" spans="3:13" ht="12.75">
      <c r="C12" s="29" t="s">
        <v>64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</row>
  </sheetData>
  <sheetProtection selectLockedCells="1" selectUnlockedCells="1"/>
  <mergeCells count="2">
    <mergeCell ref="C10:M10"/>
    <mergeCell ref="C12:M1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3"/>
  <oleObjects>
    <oleObject progId="" shapeId="19448" r:id="rId1"/>
    <oleObject progId="" shapeId="1984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C1:M21"/>
  <sheetViews>
    <sheetView zoomScale="136" zoomScaleNormal="136" workbookViewId="0" topLeftCell="A1">
      <selection activeCell="C21" sqref="C21"/>
    </sheetView>
  </sheetViews>
  <sheetFormatPr defaultColWidth="9.140625" defaultRowHeight="12.75"/>
  <cols>
    <col min="1" max="1" width="11.421875" style="0" customWidth="1"/>
    <col min="2" max="2" width="35.7109375" style="0" customWidth="1"/>
    <col min="3" max="12" width="11.421875" style="0" customWidth="1"/>
    <col min="13" max="13" width="15.57421875" style="0" customWidth="1"/>
    <col min="14" max="16384" width="11.421875" style="0" customWidth="1"/>
  </cols>
  <sheetData>
    <row r="1" ht="19.5">
      <c r="C1" s="1" t="s">
        <v>65</v>
      </c>
    </row>
    <row r="3" spans="3:13" ht="45">
      <c r="C3" s="13" t="s">
        <v>39</v>
      </c>
      <c r="D3" s="13" t="s">
        <v>40</v>
      </c>
      <c r="E3" s="13" t="s">
        <v>41</v>
      </c>
      <c r="F3" s="13" t="s">
        <v>60</v>
      </c>
      <c r="G3" s="14" t="s">
        <v>43</v>
      </c>
      <c r="H3" s="13" t="s">
        <v>44</v>
      </c>
      <c r="I3" s="13" t="s">
        <v>45</v>
      </c>
      <c r="J3" s="13" t="s">
        <v>46</v>
      </c>
      <c r="K3" s="15" t="s">
        <v>47</v>
      </c>
      <c r="L3" s="13" t="s">
        <v>48</v>
      </c>
      <c r="M3" s="16" t="s">
        <v>49</v>
      </c>
    </row>
    <row r="4" spans="3:13" ht="15">
      <c r="C4" s="17"/>
      <c r="D4" s="18" t="s">
        <v>10</v>
      </c>
      <c r="E4" s="18" t="s">
        <v>10</v>
      </c>
      <c r="F4" s="18" t="s">
        <v>35</v>
      </c>
      <c r="G4" s="18"/>
      <c r="H4" s="18" t="s">
        <v>50</v>
      </c>
      <c r="I4" s="18" t="s">
        <v>50</v>
      </c>
      <c r="J4" s="18" t="s">
        <v>51</v>
      </c>
      <c r="K4" s="19" t="s">
        <v>27</v>
      </c>
      <c r="L4" s="18" t="s">
        <v>27</v>
      </c>
      <c r="M4" s="16" t="s">
        <v>52</v>
      </c>
    </row>
    <row r="5" spans="3:13" ht="15">
      <c r="C5" t="s">
        <v>53</v>
      </c>
      <c r="D5" s="20">
        <v>0.9</v>
      </c>
      <c r="E5" s="20">
        <f>D5</f>
        <v>0.9</v>
      </c>
      <c r="F5" s="21">
        <f aca="true" t="shared" si="0" ref="F5:F6">200*PI()/60</f>
        <v>10.471975511965978</v>
      </c>
      <c r="G5" s="21" t="s">
        <v>54</v>
      </c>
      <c r="H5" s="22">
        <f aca="true" t="shared" si="1" ref="H5:H7">D5*F5</f>
        <v>9.42477796076938</v>
      </c>
      <c r="I5" s="22">
        <f>E5*F5</f>
        <v>9.42477796076938</v>
      </c>
      <c r="J5" s="23"/>
      <c r="K5" s="30">
        <v>400000</v>
      </c>
      <c r="L5" s="26"/>
      <c r="M5" s="31"/>
    </row>
    <row r="6" spans="3:13" ht="15">
      <c r="C6" s="17" t="s">
        <v>66</v>
      </c>
      <c r="D6" s="20">
        <f>D5</f>
        <v>0.9</v>
      </c>
      <c r="E6" s="20">
        <v>0.4</v>
      </c>
      <c r="F6" s="21">
        <f t="shared" si="0"/>
        <v>10.471975511965978</v>
      </c>
      <c r="G6" s="21" t="s">
        <v>62</v>
      </c>
      <c r="H6" s="22">
        <f t="shared" si="1"/>
        <v>9.42477796076938</v>
      </c>
      <c r="I6" s="22">
        <f>J6/E6</f>
        <v>21.205750411731103</v>
      </c>
      <c r="J6" s="23">
        <f>D6*H6</f>
        <v>8.482300164692441</v>
      </c>
      <c r="K6" s="26">
        <f>ρ/2*(I6^2-H6^2)+L6</f>
        <v>736807.6068488475</v>
      </c>
      <c r="L6" s="32">
        <f aca="true" t="shared" si="2" ref="L6:L7">K7</f>
        <v>556378.9013914326</v>
      </c>
      <c r="M6" s="31">
        <f>PI()*ρ*J6^2*(LN(D6)-LN(E6))+(K6+ρ*J6^2/(2*D6^2))*PI()*(E6^2-D6^2)</f>
        <v>-1411981.2211042638</v>
      </c>
    </row>
    <row r="7" spans="3:13" ht="15">
      <c r="C7" s="17" t="s">
        <v>67</v>
      </c>
      <c r="D7" s="20">
        <f aca="true" t="shared" si="3" ref="D7:D8">E6</f>
        <v>0.4</v>
      </c>
      <c r="E7" s="20">
        <f>D7</f>
        <v>0.4</v>
      </c>
      <c r="F7" s="21">
        <f>200*PI()/30</f>
        <v>20.943951023931955</v>
      </c>
      <c r="G7" s="21" t="s">
        <v>56</v>
      </c>
      <c r="H7" s="22">
        <f t="shared" si="1"/>
        <v>8.377580409572783</v>
      </c>
      <c r="I7" s="22">
        <f>E7*F7</f>
        <v>8.377580409572783</v>
      </c>
      <c r="J7" s="23">
        <f>I7*E7</f>
        <v>3.3510321638291134</v>
      </c>
      <c r="K7" s="26">
        <f>L7</f>
        <v>556378.9013914326</v>
      </c>
      <c r="L7" s="32">
        <f t="shared" si="2"/>
        <v>556378.9013914326</v>
      </c>
      <c r="M7" s="31"/>
    </row>
    <row r="8" spans="3:13" ht="15">
      <c r="C8" s="17" t="s">
        <v>68</v>
      </c>
      <c r="D8" s="20">
        <f t="shared" si="3"/>
        <v>0.4</v>
      </c>
      <c r="E8" s="20">
        <v>0.1</v>
      </c>
      <c r="F8" s="21"/>
      <c r="G8" s="21" t="s">
        <v>62</v>
      </c>
      <c r="H8" s="22">
        <f>J8/D8</f>
        <v>8.377580409572783</v>
      </c>
      <c r="I8" s="22">
        <f>J8/E8</f>
        <v>33.51032163829113</v>
      </c>
      <c r="J8" s="23">
        <f>J7</f>
        <v>3.3510321638291134</v>
      </c>
      <c r="K8" s="26">
        <f>ρ/2*(I8^2-H8^2)+L8</f>
        <v>556378.9013914326</v>
      </c>
      <c r="L8" s="30">
        <v>30000</v>
      </c>
      <c r="M8" s="31"/>
    </row>
    <row r="9" spans="3:13" ht="15">
      <c r="C9" t="s">
        <v>69</v>
      </c>
      <c r="D9" s="20">
        <f>E6</f>
        <v>0.4</v>
      </c>
      <c r="E9" s="20">
        <v>0.2</v>
      </c>
      <c r="F9" s="21">
        <f>200*PI()/60</f>
        <v>10.471975511965978</v>
      </c>
      <c r="G9" s="21" t="s">
        <v>56</v>
      </c>
      <c r="H9" s="22">
        <f>D9*F9</f>
        <v>4.188790204786391</v>
      </c>
      <c r="I9" s="22">
        <f>E9*F9</f>
        <v>2.0943951023931957</v>
      </c>
      <c r="J9" s="25"/>
      <c r="K9" s="26">
        <f>L6</f>
        <v>556378.9013914326</v>
      </c>
      <c r="L9" s="26">
        <f>ρ/2*(I9^2-H9^2)+K9</f>
        <v>549799.1651240397</v>
      </c>
      <c r="M9" s="31">
        <f>PI()*ρ*F9^2*(E9^4-D9^4)/4+(K9-ρ*D9^2*F9^2/2)*PI()*(E9^2-D9^2)</f>
        <v>-208509.65323963022</v>
      </c>
    </row>
    <row r="10" ht="16.5">
      <c r="M10" s="33">
        <f>M6+M9</f>
        <v>-1620490.874343894</v>
      </c>
    </row>
    <row r="12" spans="3:13" ht="15">
      <c r="C12" s="34" t="s">
        <v>70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3:13" ht="15">
      <c r="C13" s="35" t="s">
        <v>53</v>
      </c>
      <c r="D13" s="20">
        <v>0.9</v>
      </c>
      <c r="E13" s="20">
        <f>D13</f>
        <v>0.9</v>
      </c>
      <c r="F13" s="21">
        <f aca="true" t="shared" si="4" ref="F13:F14">200*PI()/60</f>
        <v>10.471975511965978</v>
      </c>
      <c r="G13" s="21" t="s">
        <v>54</v>
      </c>
      <c r="H13" s="36">
        <f aca="true" t="shared" si="5" ref="H13:H17">D13*F13</f>
        <v>9.42477796076938</v>
      </c>
      <c r="I13" s="36">
        <f>E13*F13</f>
        <v>9.42477796076938</v>
      </c>
      <c r="J13" s="37">
        <f>E13*I13</f>
        <v>8.482300164692441</v>
      </c>
      <c r="K13" s="30">
        <v>400000</v>
      </c>
      <c r="L13" s="38"/>
      <c r="M13" s="39"/>
    </row>
    <row r="14" spans="3:13" ht="14.25">
      <c r="C14" s="35" t="s">
        <v>66</v>
      </c>
      <c r="D14" s="20">
        <f>D13</f>
        <v>0.9</v>
      </c>
      <c r="E14" s="20">
        <v>0.4</v>
      </c>
      <c r="F14" s="21">
        <f t="shared" si="4"/>
        <v>10.471975511965978</v>
      </c>
      <c r="G14" s="21" t="s">
        <v>62</v>
      </c>
      <c r="H14" s="36">
        <f t="shared" si="5"/>
        <v>9.42477796076938</v>
      </c>
      <c r="I14" s="36">
        <f>J14/E14</f>
        <v>21.205750411731103</v>
      </c>
      <c r="J14" s="37">
        <f>J13</f>
        <v>8.482300164692441</v>
      </c>
      <c r="K14" s="38">
        <f>ρ/2*(I14^2-H14^2)+L14</f>
        <v>243327.38679437936</v>
      </c>
      <c r="L14" s="38">
        <f aca="true" t="shared" si="6" ref="L14:L15">K15</f>
        <v>62898.68133696454</v>
      </c>
      <c r="M14" s="39">
        <f>PI()*ρ*J14^2*(LN(D14)-LN(E14))+(K14+ρ*J14^2/(2*D14^2))*PI()*(E14^2-D14^2)</f>
        <v>-404277.22899451945</v>
      </c>
    </row>
    <row r="15" spans="3:13" ht="14.25">
      <c r="C15" s="35" t="s">
        <v>67</v>
      </c>
      <c r="D15" s="20">
        <f aca="true" t="shared" si="7" ref="D15:D16">E14</f>
        <v>0.4</v>
      </c>
      <c r="E15" s="20">
        <f>D15</f>
        <v>0.4</v>
      </c>
      <c r="F15" s="21">
        <f aca="true" t="shared" si="8" ref="F15:F16">200*PI()/30</f>
        <v>20.943951023931955</v>
      </c>
      <c r="G15" s="21" t="s">
        <v>56</v>
      </c>
      <c r="H15" s="36">
        <f t="shared" si="5"/>
        <v>8.377580409572783</v>
      </c>
      <c r="I15" s="36">
        <f aca="true" t="shared" si="9" ref="I15:I17">E15*F15</f>
        <v>8.377580409572783</v>
      </c>
      <c r="J15" s="37">
        <f>I15*E15</f>
        <v>3.3510321638291134</v>
      </c>
      <c r="K15" s="38">
        <f>L15</f>
        <v>62898.68133696454</v>
      </c>
      <c r="L15" s="38">
        <f t="shared" si="6"/>
        <v>62898.68133696454</v>
      </c>
      <c r="M15" s="39"/>
    </row>
    <row r="16" spans="3:13" ht="14.25">
      <c r="C16" s="35" t="s">
        <v>68</v>
      </c>
      <c r="D16" s="20">
        <f t="shared" si="7"/>
        <v>0.4</v>
      </c>
      <c r="E16" s="20">
        <v>0.1</v>
      </c>
      <c r="F16" s="21">
        <f t="shared" si="8"/>
        <v>20.943951023931955</v>
      </c>
      <c r="G16" s="21" t="s">
        <v>56</v>
      </c>
      <c r="H16" s="36">
        <f t="shared" si="5"/>
        <v>8.377580409572783</v>
      </c>
      <c r="I16" s="36">
        <f t="shared" si="9"/>
        <v>2.0943951023931957</v>
      </c>
      <c r="J16" s="37"/>
      <c r="K16" s="38">
        <f>-ρ/2*(I16^2-H16^2)+L16</f>
        <v>62898.68133696454</v>
      </c>
      <c r="L16" s="30">
        <v>30000</v>
      </c>
      <c r="M16" s="39"/>
    </row>
    <row r="17" spans="3:13" ht="14.25">
      <c r="C17" s="35" t="s">
        <v>69</v>
      </c>
      <c r="D17" s="20">
        <f>E14</f>
        <v>0.4</v>
      </c>
      <c r="E17" s="20">
        <v>0.2</v>
      </c>
      <c r="F17" s="21">
        <f>200*PI()/60</f>
        <v>10.471975511965978</v>
      </c>
      <c r="G17" s="21" t="s">
        <v>56</v>
      </c>
      <c r="H17" s="36">
        <f t="shared" si="5"/>
        <v>4.188790204786391</v>
      </c>
      <c r="I17" s="36">
        <f t="shared" si="9"/>
        <v>2.0943951023931957</v>
      </c>
      <c r="J17" s="40"/>
      <c r="K17" s="38">
        <f>L14</f>
        <v>62898.68133696454</v>
      </c>
      <c r="L17" s="38">
        <f>ρ/2*(I17^2-H17^2)+K17</f>
        <v>56318.94506957163</v>
      </c>
      <c r="M17" s="39">
        <f>PI()*ρ*F17^2*(E17^4-D17^4)/4+(K17-ρ*D17^2*F17^2/2)*PI()*(E17^2-D17^2)</f>
        <v>-22471.993157831195</v>
      </c>
    </row>
    <row r="18" spans="4:13" ht="18.75">
      <c r="D18" t="s">
        <v>71</v>
      </c>
      <c r="M18" s="27">
        <f>M14+M17</f>
        <v>-426749.22215235065</v>
      </c>
    </row>
    <row r="21" spans="3:13" ht="25.5" customHeight="1">
      <c r="C21" s="28" t="s">
        <v>57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</sheetData>
  <sheetProtection selectLockedCells="1" selectUnlockedCells="1"/>
  <mergeCells count="1">
    <mergeCell ref="C21:M2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  <oleObjects>
    <oleObject progId="" shapeId="1860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C1:M24"/>
  <sheetViews>
    <sheetView zoomScale="136" zoomScaleNormal="136" workbookViewId="0" topLeftCell="A1">
      <selection activeCell="C24" sqref="C24"/>
    </sheetView>
  </sheetViews>
  <sheetFormatPr defaultColWidth="9.140625" defaultRowHeight="12.75"/>
  <cols>
    <col min="1" max="1" width="11.421875" style="0" customWidth="1"/>
    <col min="2" max="2" width="35.7109375" style="0" customWidth="1"/>
    <col min="3" max="12" width="11.421875" style="0" customWidth="1"/>
    <col min="13" max="13" width="13.7109375" style="0" customWidth="1"/>
    <col min="14" max="16384" width="11.421875" style="0" customWidth="1"/>
  </cols>
  <sheetData>
    <row r="1" ht="19.5">
      <c r="C1" s="1" t="s">
        <v>72</v>
      </c>
    </row>
    <row r="3" spans="3:13" ht="45">
      <c r="C3" s="13" t="s">
        <v>39</v>
      </c>
      <c r="D3" s="13" t="s">
        <v>40</v>
      </c>
      <c r="E3" s="13" t="s">
        <v>41</v>
      </c>
      <c r="F3" s="13" t="s">
        <v>60</v>
      </c>
      <c r="G3" s="14" t="s">
        <v>43</v>
      </c>
      <c r="H3" s="13" t="s">
        <v>44</v>
      </c>
      <c r="I3" s="13" t="s">
        <v>45</v>
      </c>
      <c r="J3" s="13" t="s">
        <v>46</v>
      </c>
      <c r="K3" s="15" t="s">
        <v>47</v>
      </c>
      <c r="L3" s="13" t="s">
        <v>48</v>
      </c>
      <c r="M3" s="16" t="s">
        <v>49</v>
      </c>
    </row>
    <row r="4" spans="3:13" ht="15">
      <c r="C4" s="17"/>
      <c r="D4" s="18" t="s">
        <v>10</v>
      </c>
      <c r="E4" s="18" t="s">
        <v>10</v>
      </c>
      <c r="F4" s="18" t="s">
        <v>35</v>
      </c>
      <c r="G4" s="18"/>
      <c r="H4" s="18" t="s">
        <v>50</v>
      </c>
      <c r="I4" s="18" t="s">
        <v>50</v>
      </c>
      <c r="J4" s="18" t="s">
        <v>51</v>
      </c>
      <c r="K4" s="19" t="s">
        <v>27</v>
      </c>
      <c r="L4" s="18" t="s">
        <v>27</v>
      </c>
      <c r="M4" s="16" t="s">
        <v>52</v>
      </c>
    </row>
    <row r="5" spans="3:13" ht="15">
      <c r="C5" t="s">
        <v>53</v>
      </c>
      <c r="D5" s="20">
        <v>0.9</v>
      </c>
      <c r="E5" s="20">
        <f>D5</f>
        <v>0.9</v>
      </c>
      <c r="F5" s="21">
        <f>ω/2</f>
        <v>10.471975511965978</v>
      </c>
      <c r="G5" s="21" t="s">
        <v>54</v>
      </c>
      <c r="H5" s="22">
        <f>D5*F5</f>
        <v>9.42477796076938</v>
      </c>
      <c r="I5" s="22">
        <f>E5*F5</f>
        <v>9.42477796076938</v>
      </c>
      <c r="J5" s="23"/>
      <c r="K5" s="30">
        <v>400000</v>
      </c>
      <c r="L5" s="26"/>
      <c r="M5" s="31"/>
    </row>
    <row r="6" spans="3:13" ht="15">
      <c r="C6" s="17" t="s">
        <v>66</v>
      </c>
      <c r="D6" s="20">
        <f aca="true" t="shared" si="0" ref="D6:D7">D5</f>
        <v>0.9</v>
      </c>
      <c r="E6" s="20">
        <v>0.4</v>
      </c>
      <c r="F6" s="21">
        <v>0</v>
      </c>
      <c r="G6" s="21" t="s">
        <v>54</v>
      </c>
      <c r="H6" s="22">
        <v>0</v>
      </c>
      <c r="I6" s="22">
        <v>0</v>
      </c>
      <c r="J6" s="23"/>
      <c r="K6" s="26">
        <f>-ρ/2*(H6^2-I6^2)+L6</f>
        <v>556378.9013914326</v>
      </c>
      <c r="L6" s="32">
        <f>K8</f>
        <v>556378.9013914326</v>
      </c>
      <c r="M6" s="31"/>
    </row>
    <row r="7" spans="3:13" ht="15">
      <c r="C7" s="17" t="s">
        <v>73</v>
      </c>
      <c r="D7" s="20">
        <f t="shared" si="0"/>
        <v>0.9</v>
      </c>
      <c r="E7" s="20">
        <v>0.4</v>
      </c>
      <c r="F7" s="21">
        <f>ω/2</f>
        <v>10.471975511965978</v>
      </c>
      <c r="G7" s="21" t="s">
        <v>56</v>
      </c>
      <c r="H7" s="22">
        <f aca="true" t="shared" si="1" ref="H7:H8">D7*F7</f>
        <v>9.42477796076938</v>
      </c>
      <c r="I7" s="22">
        <f aca="true" t="shared" si="2" ref="I7:I8">E7*F7</f>
        <v>4.188790204786391</v>
      </c>
      <c r="J7" s="23"/>
      <c r="K7" s="26">
        <f>K6</f>
        <v>556378.9013914326</v>
      </c>
      <c r="L7" s="26">
        <f>ρ/2*(I7^2-H7^2)+K7</f>
        <v>520738.6632763877</v>
      </c>
      <c r="M7" s="31">
        <f>PI()*ρ*F7^2*(E7^4-D7^4)/4+(K7-ρ*D7^2*F7^2/2)*PI()*(E7^2-D7^2)</f>
        <v>-1099756.0041692099</v>
      </c>
    </row>
    <row r="8" spans="3:13" ht="15">
      <c r="C8" s="17" t="s">
        <v>67</v>
      </c>
      <c r="D8" s="20">
        <f>E6</f>
        <v>0.4</v>
      </c>
      <c r="E8" s="20">
        <f>D8</f>
        <v>0.4</v>
      </c>
      <c r="F8" s="21">
        <f>ω</f>
        <v>20.943951023931955</v>
      </c>
      <c r="G8" s="21" t="s">
        <v>54</v>
      </c>
      <c r="H8" s="22">
        <f t="shared" si="1"/>
        <v>8.377580409572783</v>
      </c>
      <c r="I8" s="22">
        <f t="shared" si="2"/>
        <v>8.377580409572783</v>
      </c>
      <c r="J8" s="23"/>
      <c r="K8" s="26">
        <f>L8</f>
        <v>556378.9013914326</v>
      </c>
      <c r="L8" s="32">
        <f>K9</f>
        <v>556378.9013914326</v>
      </c>
      <c r="M8" s="31"/>
    </row>
    <row r="9" spans="3:13" ht="15">
      <c r="C9" s="17" t="s">
        <v>68</v>
      </c>
      <c r="D9" s="20">
        <f>E8</f>
        <v>0.4</v>
      </c>
      <c r="E9" s="20">
        <v>0.1</v>
      </c>
      <c r="F9" s="21"/>
      <c r="G9" s="21" t="s">
        <v>62</v>
      </c>
      <c r="H9" s="22">
        <f>I8</f>
        <v>8.377580409572783</v>
      </c>
      <c r="I9" s="22">
        <f>J9/E9</f>
        <v>33.51032163829113</v>
      </c>
      <c r="J9" s="23">
        <f>H9*D9</f>
        <v>3.3510321638291134</v>
      </c>
      <c r="K9" s="26">
        <f>-ρ/2*(H9^2-I9^2)+L9</f>
        <v>556378.9013914326</v>
      </c>
      <c r="L9" s="30">
        <v>30000</v>
      </c>
      <c r="M9" s="31"/>
    </row>
    <row r="10" spans="3:13" ht="15">
      <c r="C10" t="s">
        <v>69</v>
      </c>
      <c r="D10" s="20">
        <f>E6</f>
        <v>0.4</v>
      </c>
      <c r="E10" s="20">
        <v>0.2</v>
      </c>
      <c r="F10" s="21">
        <f>200*PI()/60</f>
        <v>10.471975511965978</v>
      </c>
      <c r="G10" s="21" t="s">
        <v>56</v>
      </c>
      <c r="H10" s="22">
        <f>D10*F10</f>
        <v>4.188790204786391</v>
      </c>
      <c r="I10" s="22">
        <f>E10*F10</f>
        <v>2.0943951023931957</v>
      </c>
      <c r="J10" s="25"/>
      <c r="K10" s="26">
        <f>L6</f>
        <v>556378.9013914326</v>
      </c>
      <c r="L10" s="26">
        <f>ρ/2*(I10^2-H10^2)+K10</f>
        <v>549799.1651240397</v>
      </c>
      <c r="M10" s="31">
        <f>PI()*ρ*F10^2*(E10^2-D10^2)/4+(K10-ρ*D10^2*F10^2/2)*PI()*(E10^2-D10^2)</f>
        <v>-216777.99368771017</v>
      </c>
    </row>
    <row r="11" spans="3:13" ht="17.25" customHeight="1">
      <c r="C11" s="41"/>
      <c r="D11" s="42"/>
      <c r="E11" s="42"/>
      <c r="F11" s="42"/>
      <c r="G11" s="42"/>
      <c r="H11" s="42"/>
      <c r="I11" s="42"/>
      <c r="J11" s="43"/>
      <c r="K11" s="44"/>
      <c r="L11" s="43"/>
      <c r="M11" s="33">
        <f>M7+M10</f>
        <v>-1316533.9978569201</v>
      </c>
    </row>
    <row r="12" spans="3:13" ht="15">
      <c r="C12" s="45"/>
      <c r="D12" s="45"/>
      <c r="E12" s="45"/>
      <c r="F12" s="45"/>
      <c r="G12" s="45"/>
      <c r="H12" s="45"/>
      <c r="I12" s="45"/>
      <c r="J12" s="25"/>
      <c r="K12" s="46"/>
      <c r="L12" s="25"/>
      <c r="M12" s="45"/>
    </row>
    <row r="15" spans="3:13" ht="15">
      <c r="C15" s="34" t="s">
        <v>70</v>
      </c>
      <c r="D15" s="47"/>
      <c r="E15" s="47"/>
      <c r="F15" s="47"/>
      <c r="G15" s="47"/>
      <c r="H15" s="47"/>
      <c r="I15" s="47"/>
      <c r="J15" s="47"/>
      <c r="K15" s="48"/>
      <c r="L15" s="47"/>
      <c r="M15" s="35"/>
    </row>
    <row r="16" spans="3:13" ht="14.25">
      <c r="C16" s="35" t="s">
        <v>53</v>
      </c>
      <c r="D16" s="20">
        <v>0.9</v>
      </c>
      <c r="E16" s="20">
        <f>D16</f>
        <v>0.9</v>
      </c>
      <c r="F16" s="21">
        <f>ω/2</f>
        <v>10.471975511965978</v>
      </c>
      <c r="G16" s="21" t="s">
        <v>54</v>
      </c>
      <c r="H16" s="36">
        <f>D16*F16</f>
        <v>9.42477796076938</v>
      </c>
      <c r="I16" s="36">
        <f>E16*F16</f>
        <v>9.42477796076938</v>
      </c>
      <c r="J16" s="37"/>
      <c r="K16" s="30">
        <v>400000</v>
      </c>
      <c r="L16" s="38"/>
      <c r="M16" s="39"/>
    </row>
    <row r="17" spans="3:13" ht="15.75">
      <c r="C17" s="35" t="s">
        <v>66</v>
      </c>
      <c r="D17" s="20">
        <f aca="true" t="shared" si="3" ref="D17:D18">D16</f>
        <v>0.9</v>
      </c>
      <c r="E17" s="20">
        <v>0.4</v>
      </c>
      <c r="F17" s="21">
        <v>0</v>
      </c>
      <c r="G17" s="21" t="s">
        <v>54</v>
      </c>
      <c r="H17" s="36">
        <v>0</v>
      </c>
      <c r="I17" s="36">
        <v>0</v>
      </c>
      <c r="J17" s="37"/>
      <c r="K17" s="38">
        <f>-ρ/2*(H17^2-I17^2)+L17</f>
        <v>62898.68133696454</v>
      </c>
      <c r="L17" s="38">
        <f>K19</f>
        <v>62898.68133696454</v>
      </c>
      <c r="M17" s="39"/>
    </row>
    <row r="18" spans="3:13" ht="15.75">
      <c r="C18" s="35" t="s">
        <v>73</v>
      </c>
      <c r="D18" s="20">
        <f t="shared" si="3"/>
        <v>0.9</v>
      </c>
      <c r="E18" s="20">
        <v>0.4</v>
      </c>
      <c r="F18" s="21">
        <f>ω/2</f>
        <v>10.471975511965978</v>
      </c>
      <c r="G18" s="21" t="s">
        <v>56</v>
      </c>
      <c r="H18" s="36">
        <f aca="true" t="shared" si="4" ref="H18:H21">D18*F18</f>
        <v>9.42477796076938</v>
      </c>
      <c r="I18" s="36">
        <f aca="true" t="shared" si="5" ref="I18:I21">E18*F18</f>
        <v>4.188790204786391</v>
      </c>
      <c r="J18" s="37"/>
      <c r="K18" s="38">
        <f>K17</f>
        <v>62898.68133696454</v>
      </c>
      <c r="L18" s="38">
        <f>ρ/2*(I18^2-H18^2)+K18</f>
        <v>27258.44322191964</v>
      </c>
      <c r="M18" s="39">
        <f>PI()*ρ*F18^2*(E18^4-D18^4)/4+(K18-ρ*D18^2*F18^2/2)*PI()*(E18^2-D18^2)</f>
        <v>-92052.0120594654</v>
      </c>
    </row>
    <row r="19" spans="3:13" ht="15.75">
      <c r="C19" s="35" t="s">
        <v>67</v>
      </c>
      <c r="D19" s="20">
        <f>E17</f>
        <v>0.4</v>
      </c>
      <c r="E19" s="20">
        <f>D19</f>
        <v>0.4</v>
      </c>
      <c r="F19" s="21">
        <f>ω</f>
        <v>20.943951023931955</v>
      </c>
      <c r="G19" s="21" t="s">
        <v>54</v>
      </c>
      <c r="H19" s="36">
        <f t="shared" si="4"/>
        <v>8.377580409572783</v>
      </c>
      <c r="I19" s="36">
        <f t="shared" si="5"/>
        <v>8.377580409572783</v>
      </c>
      <c r="J19" s="37"/>
      <c r="K19" s="38">
        <f>L19</f>
        <v>62898.68133696454</v>
      </c>
      <c r="L19" s="38">
        <f>K20</f>
        <v>62898.68133696454</v>
      </c>
      <c r="M19" s="39"/>
    </row>
    <row r="20" spans="3:13" ht="12.75">
      <c r="C20" s="35" t="s">
        <v>68</v>
      </c>
      <c r="D20" s="20">
        <v>0.4</v>
      </c>
      <c r="E20" s="20">
        <v>0.1</v>
      </c>
      <c r="F20" s="21">
        <f>200*PI()/30</f>
        <v>20.943951023931955</v>
      </c>
      <c r="G20" s="49" t="s">
        <v>56</v>
      </c>
      <c r="H20" s="49">
        <f t="shared" si="4"/>
        <v>8.377580409572783</v>
      </c>
      <c r="I20" s="49">
        <f t="shared" si="5"/>
        <v>2.0943951023931957</v>
      </c>
      <c r="J20" s="50"/>
      <c r="K20" s="38">
        <f>-ρ/2*(I20^2-H20^2)+L20</f>
        <v>62898.68133696454</v>
      </c>
      <c r="L20" s="51">
        <v>30000</v>
      </c>
      <c r="M20" s="39"/>
    </row>
    <row r="21" spans="3:13" ht="14.25">
      <c r="C21" s="35" t="s">
        <v>69</v>
      </c>
      <c r="D21" s="20">
        <f>E17</f>
        <v>0.4</v>
      </c>
      <c r="E21" s="20">
        <v>0.2</v>
      </c>
      <c r="F21" s="21">
        <f>200*PI()/60</f>
        <v>10.471975511965978</v>
      </c>
      <c r="G21" s="21" t="s">
        <v>56</v>
      </c>
      <c r="H21" s="36">
        <f t="shared" si="4"/>
        <v>4.188790204786391</v>
      </c>
      <c r="I21" s="36">
        <f t="shared" si="5"/>
        <v>2.0943951023931957</v>
      </c>
      <c r="J21" s="40"/>
      <c r="K21" s="38">
        <f>L17</f>
        <v>62898.68133696454</v>
      </c>
      <c r="L21" s="38">
        <f>ρ/2*(I21^2-H21^2)+K21</f>
        <v>56318.94506957163</v>
      </c>
      <c r="M21" s="39">
        <f>PI()*ρ*F21^2*(E21^2-D21^2)/4+(K21-ρ*D21^2*F21^2/2)*PI()*(E21^2-D21^2)</f>
        <v>-30740.33360591115</v>
      </c>
    </row>
    <row r="22" spans="3:13" ht="17.25">
      <c r="C22" s="43"/>
      <c r="H22" s="22"/>
      <c r="I22" s="22"/>
      <c r="J22" s="42"/>
      <c r="K22" s="26"/>
      <c r="L22" s="42"/>
      <c r="M22" s="27">
        <f>M18+M21</f>
        <v>-122792.34566537655</v>
      </c>
    </row>
    <row r="24" spans="3:13" ht="25.5" customHeight="1">
      <c r="C24" s="28" t="s">
        <v>57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</row>
  </sheetData>
  <sheetProtection selectLockedCells="1" selectUnlockedCells="1"/>
  <mergeCells count="1">
    <mergeCell ref="C24:M24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  <oleObjects>
    <oleObject progId="" shapeId="3087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="136" zoomScaleNormal="136" workbookViewId="0" topLeftCell="A1">
      <selection activeCell="P8" sqref="P8"/>
    </sheetView>
  </sheetViews>
  <sheetFormatPr defaultColWidth="9.140625" defaultRowHeight="12.75"/>
  <cols>
    <col min="1" max="1" width="11.421875" style="0" customWidth="1"/>
    <col min="2" max="2" width="46.28125" style="0" customWidth="1"/>
    <col min="3" max="4" width="23.00390625" style="0" customWidth="1"/>
    <col min="5" max="16384" width="11.421875" style="0" customWidth="1"/>
  </cols>
  <sheetData>
    <row r="1" spans="3:4" ht="18">
      <c r="C1" s="52" t="s">
        <v>74</v>
      </c>
      <c r="D1" s="52"/>
    </row>
    <row r="3" spans="3:4" ht="16.5">
      <c r="C3" s="53" t="s">
        <v>75</v>
      </c>
      <c r="D3" s="53" t="s">
        <v>76</v>
      </c>
    </row>
    <row r="4" spans="3:4" ht="16.5">
      <c r="C4" s="54"/>
      <c r="D4" s="54"/>
    </row>
    <row r="5" spans="1:4" ht="191.25" customHeight="1">
      <c r="A5" s="55">
        <v>1</v>
      </c>
      <c r="C5" s="56">
        <f>'Config 1'!M6</f>
        <v>-926492.7692857253</v>
      </c>
      <c r="D5" s="57" t="s">
        <v>54</v>
      </c>
    </row>
    <row r="6" spans="1:4" ht="191.25" customHeight="1">
      <c r="A6" s="55">
        <v>2</v>
      </c>
      <c r="C6" s="56">
        <f>'Config 2'!M8</f>
        <v>-33219.016094350314</v>
      </c>
      <c r="D6" s="57" t="s">
        <v>54</v>
      </c>
    </row>
    <row r="7" spans="1:4" ht="191.25" customHeight="1">
      <c r="A7" s="55">
        <v>3</v>
      </c>
      <c r="C7" s="56">
        <f>'Config 3'!M10</f>
        <v>-1620490.874343894</v>
      </c>
      <c r="D7" s="56">
        <f>'Config 3'!M18</f>
        <v>-426749.22215235065</v>
      </c>
    </row>
    <row r="8" spans="1:4" ht="191.25" customHeight="1">
      <c r="A8" s="55">
        <v>4</v>
      </c>
      <c r="C8" s="56">
        <f>'Config 4'!M11</f>
        <v>-1316533.9978569201</v>
      </c>
      <c r="D8" s="56">
        <f>'Config 4'!M22</f>
        <v>-122792.34566537655</v>
      </c>
    </row>
    <row r="9" ht="191.25" customHeight="1"/>
  </sheetData>
  <sheetProtection selectLockedCells="1" selectUnlockedCells="1"/>
  <mergeCells count="1">
    <mergeCell ref="C1:D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5"/>
  <oleObjects>
    <oleObject progId="" shapeId="31432" r:id="rId1"/>
    <oleObject progId="" shapeId="32692" r:id="rId2"/>
    <oleObject progId="" shapeId="32636" r:id="rId3"/>
    <oleObject progId="" shapeId="3266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Contribution à la poussée axial</dc:title>
  <dc:subject>Calcul des efforts sur le plafond d'une roue selon la configuration</dc:subject>
  <dc:creator>Michel Sabourin</dc:creator>
  <cp:keywords/>
  <dc:description>https://michelsabourin.scenari-community.org/SimTurbMeth/co/Poussee_axiale.html
© Michel Sabourin 2021</dc:description>
  <cp:lastModifiedBy>Michel Sabourin</cp:lastModifiedBy>
  <dcterms:created xsi:type="dcterms:W3CDTF">2019-01-08T16:40:01Z</dcterms:created>
  <dcterms:modified xsi:type="dcterms:W3CDTF">2022-09-09T15:52:40Z</dcterms:modified>
  <cp:category/>
  <cp:version/>
  <cp:contentType/>
  <cp:contentStatus/>
  <cp:revision>16</cp:revision>
</cp:coreProperties>
</file>